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680" windowHeight="9090" activeTab="0"/>
  </bookViews>
  <sheets>
    <sheet name="simpliefied portfolio CVA " sheetId="1" r:id="rId1"/>
  </sheets>
  <definedNames>
    <definedName name="Calendar">#REF!</definedName>
    <definedName name="EffectiveDate">#REF!</definedName>
    <definedName name="Nominal">#REF!</definedName>
    <definedName name="ReferenceDate">#REF!</definedName>
    <definedName name="TerminationDate">#REF!</definedName>
  </definedNames>
  <calcPr fullCalcOnLoad="1"/>
</workbook>
</file>

<file path=xl/sharedStrings.xml><?xml version="1.0" encoding="utf-8"?>
<sst xmlns="http://schemas.openxmlformats.org/spreadsheetml/2006/main" count="44" uniqueCount="44">
  <si>
    <t>Actual/360</t>
  </si>
  <si>
    <t>Target</t>
  </si>
  <si>
    <t>valuation date</t>
  </si>
  <si>
    <t>discount curve</t>
  </si>
  <si>
    <t>http://www.PriceDerivatives.com</t>
  </si>
  <si>
    <t>Euribor6m</t>
  </si>
  <si>
    <t>1) get quantlib excel addin http://quantlib.org/quantlibxl/</t>
  </si>
  <si>
    <t>2) open quantlib...xll file in quantlib xll directory</t>
  </si>
  <si>
    <t>sample flat rate 2% curve</t>
  </si>
  <si>
    <t>Calendar</t>
  </si>
  <si>
    <t>SetPricingEngine</t>
  </si>
  <si>
    <t>FixedLegSchedule</t>
  </si>
  <si>
    <t>FixedLegDayCounter</t>
  </si>
  <si>
    <t>FloatingLegSchedule</t>
  </si>
  <si>
    <t>Annuity</t>
  </si>
  <si>
    <t>maturity</t>
  </si>
  <si>
    <t>CDS rate</t>
  </si>
  <si>
    <t>dummy curve</t>
  </si>
  <si>
    <t>Annuity Schedule</t>
  </si>
  <si>
    <t>Annuity Nominal</t>
  </si>
  <si>
    <t>Simplified Approximate CVA/DVA calculation with quantlib excel addin example</t>
  </si>
  <si>
    <t>3) recalculate spreadsheet ctrl-alt-f9</t>
  </si>
  <si>
    <t>dummy Index</t>
  </si>
  <si>
    <t>Net current exposure</t>
  </si>
  <si>
    <t>own CDS spread</t>
  </si>
  <si>
    <t>counterparty CDS spread</t>
  </si>
  <si>
    <t>Recovery rate</t>
  </si>
  <si>
    <t>schedule 1st date</t>
  </si>
  <si>
    <t>RISK FREE NPV</t>
  </si>
  <si>
    <t>CDS spread to use</t>
  </si>
  <si>
    <t>CVA/DVA</t>
  </si>
  <si>
    <t xml:space="preserve">maturity of porfolio </t>
  </si>
  <si>
    <t>INPUTS</t>
  </si>
  <si>
    <t>OUTPUT</t>
  </si>
  <si>
    <t>Calculations</t>
  </si>
  <si>
    <t>YIELD CURVE</t>
  </si>
  <si>
    <t xml:space="preserve">Net present value </t>
  </si>
  <si>
    <t>risk-free portfolio NPV</t>
  </si>
  <si>
    <t>CVA/DVA adjusted portfolio NPV</t>
  </si>
  <si>
    <t>discounting Engine</t>
  </si>
  <si>
    <t>Sample Portfolio with Counterparty with 3 derivatives</t>
  </si>
  <si>
    <t>swap1</t>
  </si>
  <si>
    <t>swap2</t>
  </si>
  <si>
    <t>fx option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</si>
</sst>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d\,\ dd\-mmm\-yyyy"/>
    <numFmt numFmtId="165" formatCode="0.000%"/>
    <numFmt numFmtId="166" formatCode="0.000"/>
    <numFmt numFmtId="167" formatCode="0.0000"/>
    <numFmt numFmtId="168" formatCode="_-* #,##0.00\ &quot;€&quot;_-;\-* #,##0.00\ &quot;€&quot;_-;_-* &quot;-&quot;??\ &quot;€&quot;_-;_-@_-"/>
    <numFmt numFmtId="169" formatCode="0.00000"/>
    <numFmt numFmtId="170" formatCode="0.000000"/>
    <numFmt numFmtId="171" formatCode="0.0000%"/>
    <numFmt numFmtId="172" formatCode="_-* #,##0.00\ [$€-C0A]_-;\-* #,##0.00\ [$€-C0A]_-;_-* &quot;-&quot;??\ [$€-C0A]_-;_-@_-"/>
    <numFmt numFmtId="173" formatCode="#,##0.00_ ;\-#,##0.00\ "/>
    <numFmt numFmtId="174" formatCode="#,##0.00\ &quot;€&quot;"/>
    <numFmt numFmtId="175" formatCode="ddd\,\ d\-mmm\-yyyy"/>
    <numFmt numFmtId="176" formatCode="_(* #,##0.00_);_(* \(#,##0.00\);_(* &quot;-&quot;??_);_(@_)"/>
    <numFmt numFmtId="177" formatCode="[$-809]dd\ mmmm\ yyyy"/>
    <numFmt numFmtId="178" formatCode="0.0%"/>
    <numFmt numFmtId="179" formatCode="&quot;£&quot;#,##0.00"/>
    <numFmt numFmtId="180" formatCode="&quot;£&quot;#,##0.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8"/>
      <name val="Calibri"/>
      <family val="2"/>
    </font>
    <font>
      <sz val="11"/>
      <color indexed="23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11"/>
      <color theme="0" tint="-0.4999699890613556"/>
      <name val="Calibri"/>
      <family val="2"/>
    </font>
    <font>
      <i/>
      <sz val="11"/>
      <color theme="1"/>
      <name val="Calibri"/>
      <family val="2"/>
    </font>
    <font>
      <u val="single"/>
      <sz val="12"/>
      <color theme="1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11"/>
      <color theme="1" tint="0.49998000264167786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/>
      <bottom/>
    </border>
    <border>
      <left>
        <color indexed="63"/>
      </left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7" fillId="0" borderId="0" xfId="0" applyFont="1" applyAlignment="1">
      <alignment/>
    </xf>
    <xf numFmtId="164" fontId="48" fillId="0" borderId="0" xfId="0" applyNumberFormat="1" applyFont="1" applyAlignment="1">
      <alignment horizontal="center"/>
    </xf>
    <xf numFmtId="14" fontId="48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50" fillId="0" borderId="0" xfId="53" applyFont="1" applyAlignment="1" applyProtection="1">
      <alignment/>
      <protection/>
    </xf>
    <xf numFmtId="0" fontId="3" fillId="0" borderId="0" xfId="58">
      <alignment/>
      <protection/>
    </xf>
    <xf numFmtId="0" fontId="51" fillId="0" borderId="10" xfId="0" applyFont="1" applyBorder="1" applyAlignment="1">
      <alignment/>
    </xf>
    <xf numFmtId="0" fontId="0" fillId="0" borderId="11" xfId="0" applyBorder="1" applyAlignment="1">
      <alignment/>
    </xf>
    <xf numFmtId="0" fontId="52" fillId="0" borderId="10" xfId="0" applyFont="1" applyBorder="1" applyAlignment="1">
      <alignment/>
    </xf>
    <xf numFmtId="0" fontId="4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9" fontId="0" fillId="0" borderId="15" xfId="0" applyNumberFormat="1" applyBorder="1" applyAlignment="1">
      <alignment/>
    </xf>
    <xf numFmtId="0" fontId="0" fillId="0" borderId="16" xfId="0" applyFill="1" applyBorder="1" applyAlignment="1">
      <alignment/>
    </xf>
    <xf numFmtId="0" fontId="45" fillId="0" borderId="14" xfId="0" applyFont="1" applyBorder="1" applyAlignment="1">
      <alignment/>
    </xf>
    <xf numFmtId="0" fontId="0" fillId="0" borderId="14" xfId="0" applyFill="1" applyBorder="1" applyAlignment="1">
      <alignment/>
    </xf>
    <xf numFmtId="14" fontId="0" fillId="0" borderId="15" xfId="0" applyNumberFormat="1" applyBorder="1" applyAlignment="1">
      <alignment/>
    </xf>
    <xf numFmtId="10" fontId="0" fillId="0" borderId="17" xfId="0" applyNumberFormat="1" applyBorder="1" applyAlignment="1">
      <alignment/>
    </xf>
    <xf numFmtId="0" fontId="0" fillId="0" borderId="12" xfId="0" applyFill="1" applyBorder="1" applyAlignment="1">
      <alignment/>
    </xf>
    <xf numFmtId="14" fontId="0" fillId="0" borderId="13" xfId="0" applyNumberFormat="1" applyBorder="1" applyAlignment="1">
      <alignment/>
    </xf>
    <xf numFmtId="0" fontId="53" fillId="0" borderId="10" xfId="0" applyFont="1" applyBorder="1" applyAlignment="1">
      <alignment/>
    </xf>
    <xf numFmtId="179" fontId="54" fillId="0" borderId="15" xfId="0" applyNumberFormat="1" applyFont="1" applyBorder="1" applyAlignment="1">
      <alignment/>
    </xf>
    <xf numFmtId="9" fontId="0" fillId="0" borderId="15" xfId="0" applyNumberFormat="1" applyBorder="1" applyAlignment="1">
      <alignment/>
    </xf>
    <xf numFmtId="0" fontId="0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170" fontId="0" fillId="0" borderId="14" xfId="0" applyNumberFormat="1" applyBorder="1" applyAlignment="1">
      <alignment/>
    </xf>
    <xf numFmtId="170" fontId="0" fillId="0" borderId="15" xfId="0" applyNumberFormat="1" applyBorder="1" applyAlignment="1">
      <alignment/>
    </xf>
    <xf numFmtId="10" fontId="0" fillId="0" borderId="15" xfId="61" applyNumberFormat="1" applyFont="1" applyBorder="1" applyAlignment="1">
      <alignment/>
    </xf>
    <xf numFmtId="170" fontId="0" fillId="0" borderId="16" xfId="0" applyNumberFormat="1" applyBorder="1" applyAlignment="1">
      <alignment/>
    </xf>
    <xf numFmtId="170" fontId="0" fillId="0" borderId="17" xfId="0" applyNumberFormat="1" applyBorder="1" applyAlignment="1">
      <alignment/>
    </xf>
    <xf numFmtId="0" fontId="49" fillId="0" borderId="14" xfId="0" applyFont="1" applyBorder="1" applyAlignment="1">
      <alignment/>
    </xf>
    <xf numFmtId="14" fontId="55" fillId="0" borderId="12" xfId="0" applyNumberFormat="1" applyFont="1" applyBorder="1" applyAlignment="1">
      <alignment/>
    </xf>
    <xf numFmtId="170" fontId="0" fillId="0" borderId="13" xfId="0" applyNumberFormat="1" applyBorder="1" applyAlignment="1">
      <alignment/>
    </xf>
    <xf numFmtId="14" fontId="55" fillId="0" borderId="14" xfId="0" applyNumberFormat="1" applyFont="1" applyBorder="1" applyAlignment="1">
      <alignment/>
    </xf>
    <xf numFmtId="14" fontId="55" fillId="0" borderId="16" xfId="0" applyNumberFormat="1" applyFont="1" applyBorder="1" applyAlignment="1">
      <alignment/>
    </xf>
    <xf numFmtId="0" fontId="45" fillId="0" borderId="18" xfId="0" applyFont="1" applyBorder="1" applyAlignment="1">
      <alignment/>
    </xf>
    <xf numFmtId="10" fontId="0" fillId="0" borderId="15" xfId="0" applyNumberFormat="1" applyFont="1" applyBorder="1" applyAlignment="1">
      <alignment/>
    </xf>
    <xf numFmtId="0" fontId="0" fillId="7" borderId="16" xfId="0" applyFill="1" applyBorder="1" applyAlignment="1">
      <alignment/>
    </xf>
    <xf numFmtId="179" fontId="0" fillId="7" borderId="17" xfId="0" applyNumberFormat="1" applyFill="1" applyBorder="1" applyAlignment="1">
      <alignment/>
    </xf>
    <xf numFmtId="14" fontId="56" fillId="0" borderId="19" xfId="0" applyNumberFormat="1" applyFont="1" applyBorder="1" applyAlignment="1">
      <alignment horizontal="center"/>
    </xf>
    <xf numFmtId="170" fontId="0" fillId="0" borderId="14" xfId="0" applyNumberFormat="1" applyFill="1" applyBorder="1" applyAlignment="1">
      <alignment/>
    </xf>
    <xf numFmtId="0" fontId="0" fillId="4" borderId="14" xfId="0" applyFill="1" applyBorder="1" applyAlignment="1">
      <alignment/>
    </xf>
    <xf numFmtId="179" fontId="0" fillId="4" borderId="15" xfId="0" applyNumberForma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6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ercent 2" xfId="62"/>
    <cellStyle name="Percent 3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icederivative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90" zoomScaleNormal="90" zoomScalePageLayoutView="0" workbookViewId="0" topLeftCell="A1">
      <selection activeCell="E16" sqref="E16"/>
    </sheetView>
  </sheetViews>
  <sheetFormatPr defaultColWidth="9.140625" defaultRowHeight="15"/>
  <cols>
    <col min="1" max="1" width="25.421875" style="0" customWidth="1"/>
    <col min="2" max="2" width="19.7109375" style="0" customWidth="1"/>
    <col min="3" max="3" width="15.421875" style="0" customWidth="1"/>
    <col min="4" max="4" width="28.8515625" style="0" customWidth="1"/>
    <col min="5" max="5" width="21.7109375" style="0" customWidth="1"/>
    <col min="6" max="6" width="14.28125" style="0" customWidth="1"/>
    <col min="7" max="7" width="29.421875" style="0" customWidth="1"/>
    <col min="8" max="8" width="17.00390625" style="0" customWidth="1"/>
    <col min="9" max="9" width="16.421875" style="0" customWidth="1"/>
    <col min="10" max="10" width="14.57421875" style="0" customWidth="1"/>
    <col min="11" max="11" width="14.28125" style="0" bestFit="1" customWidth="1"/>
    <col min="12" max="12" width="12.7109375" style="0" customWidth="1"/>
  </cols>
  <sheetData>
    <row r="1" spans="1:3" ht="33.75">
      <c r="A1" s="6" t="s">
        <v>4</v>
      </c>
      <c r="C1" s="1" t="s">
        <v>20</v>
      </c>
    </row>
    <row r="2" ht="15.75" thickBot="1">
      <c r="H2" s="5"/>
    </row>
    <row r="3" spans="1:4" ht="16.5" thickBot="1">
      <c r="A3" s="38" t="s">
        <v>2</v>
      </c>
      <c r="B3" s="42">
        <v>40907</v>
      </c>
      <c r="D3" s="5" t="s">
        <v>6</v>
      </c>
    </row>
    <row r="4" spans="1:4" ht="15">
      <c r="A4" s="2" t="b">
        <f>_XLL.QLSETTINGSSETEVALUATIONDATE(B3)</f>
        <v>1</v>
      </c>
      <c r="B4" s="3">
        <f>_XLL.QLSETTINGSEVALUATIONDATE(A4)</f>
        <v>40907</v>
      </c>
      <c r="D4" s="5" t="s">
        <v>7</v>
      </c>
    </row>
    <row r="5" ht="15.75" thickBot="1">
      <c r="D5" s="5" t="s">
        <v>21</v>
      </c>
    </row>
    <row r="6" spans="1:8" ht="21">
      <c r="A6" s="10" t="s">
        <v>35</v>
      </c>
      <c r="B6" s="9"/>
      <c r="D6" s="10" t="s">
        <v>32</v>
      </c>
      <c r="E6" s="9"/>
      <c r="G6" s="8" t="s">
        <v>33</v>
      </c>
      <c r="H6" s="9"/>
    </row>
    <row r="7" spans="1:8" ht="15">
      <c r="A7" s="33" t="s">
        <v>8</v>
      </c>
      <c r="B7" s="14"/>
      <c r="D7" s="17" t="s">
        <v>40</v>
      </c>
      <c r="E7" s="14"/>
      <c r="G7" s="13" t="s">
        <v>37</v>
      </c>
      <c r="H7" s="15">
        <f>E21</f>
        <v>132000</v>
      </c>
    </row>
    <row r="8" spans="1:8" ht="15.75" thickBot="1">
      <c r="A8" s="11" t="s">
        <v>3</v>
      </c>
      <c r="B8" s="12" t="s">
        <v>5</v>
      </c>
      <c r="D8" s="13"/>
      <c r="E8" s="14" t="s">
        <v>36</v>
      </c>
      <c r="G8" s="40" t="s">
        <v>38</v>
      </c>
      <c r="H8" s="41">
        <f>E21+E38</f>
        <v>124369.1778130875</v>
      </c>
    </row>
    <row r="9" spans="1:5" ht="15">
      <c r="A9" s="13"/>
      <c r="B9" s="14" t="str">
        <f>_XLL.QLINTERPOLATEDYIELDCURVE("EUR6m",A10:A23,B10:B23,"target","actual/360",,,"Discount","LogLinear")</f>
        <v>EUR6m#0005</v>
      </c>
      <c r="D9" s="44" t="s">
        <v>41</v>
      </c>
      <c r="E9" s="45">
        <v>212000</v>
      </c>
    </row>
    <row r="10" spans="1:5" ht="15">
      <c r="A10" s="34">
        <f>B3</f>
        <v>40907</v>
      </c>
      <c r="B10" s="35">
        <v>1</v>
      </c>
      <c r="D10" s="44" t="s">
        <v>42</v>
      </c>
      <c r="E10" s="45">
        <v>-100000</v>
      </c>
    </row>
    <row r="11" spans="1:5" ht="15">
      <c r="A11" s="36">
        <f>EDATE(A10,12)</f>
        <v>41273</v>
      </c>
      <c r="B11" s="29">
        <f>EXP(-2%*YEARFRAC(A11,$A$10))</f>
        <v>0.9801986733067553</v>
      </c>
      <c r="D11" s="44" t="s">
        <v>43</v>
      </c>
      <c r="E11" s="45">
        <v>20000</v>
      </c>
    </row>
    <row r="12" spans="1:5" ht="15">
      <c r="A12" s="36">
        <f aca="true" t="shared" si="0" ref="A12:A23">EDATE(A11,12)</f>
        <v>41638</v>
      </c>
      <c r="B12" s="29">
        <f>EXP(-2%*YEARFRAC(A12,$A$10))</f>
        <v>0.9607894391523232</v>
      </c>
      <c r="D12" s="13"/>
      <c r="E12" s="14"/>
    </row>
    <row r="13" spans="1:5" ht="15">
      <c r="A13" s="36">
        <f t="shared" si="0"/>
        <v>42003</v>
      </c>
      <c r="B13" s="29">
        <f>EXP(-2%*YEARFRAC(A13,$A$10))</f>
        <v>0.9417645335842487</v>
      </c>
      <c r="D13" s="21" t="s">
        <v>31</v>
      </c>
      <c r="E13" s="22">
        <f>EDATE($B$3,60)</f>
        <v>42734</v>
      </c>
    </row>
    <row r="14" spans="1:5" ht="15">
      <c r="A14" s="36">
        <f t="shared" si="0"/>
        <v>42368</v>
      </c>
      <c r="B14" s="29">
        <f>EXP(-2%*YEARFRAC(A14,$A$10))</f>
        <v>0.9231163463866358</v>
      </c>
      <c r="D14" s="13" t="s">
        <v>24</v>
      </c>
      <c r="E14" s="39">
        <v>0.07</v>
      </c>
    </row>
    <row r="15" spans="1:5" ht="15.75" thickBot="1">
      <c r="A15" s="36">
        <f t="shared" si="0"/>
        <v>42734</v>
      </c>
      <c r="B15" s="29">
        <f>EXP(-2%*YEARFRAC(A15,$A$10))</f>
        <v>0.9048374180359595</v>
      </c>
      <c r="D15" s="16" t="s">
        <v>25</v>
      </c>
      <c r="E15" s="20">
        <v>0.02</v>
      </c>
    </row>
    <row r="16" spans="1:2" ht="15">
      <c r="A16" s="36">
        <f t="shared" si="0"/>
        <v>43099</v>
      </c>
      <c r="B16" s="29">
        <f>EXP(-2%*YEARFRAC(A16,$A$10))</f>
        <v>0.8869204367171575</v>
      </c>
    </row>
    <row r="17" spans="1:2" ht="15">
      <c r="A17" s="36">
        <f t="shared" si="0"/>
        <v>43464</v>
      </c>
      <c r="B17" s="29">
        <f>EXP(-2%*YEARFRAC(A17,$A$10))</f>
        <v>0.8693582353988059</v>
      </c>
    </row>
    <row r="18" spans="1:2" ht="15.75" thickBot="1">
      <c r="A18" s="36">
        <f t="shared" si="0"/>
        <v>43829</v>
      </c>
      <c r="B18" s="29">
        <f>EXP(-2%*YEARFRAC(A18,$A$10))</f>
        <v>0.8521437889662113</v>
      </c>
    </row>
    <row r="19" spans="1:5" ht="23.25">
      <c r="A19" s="36">
        <f t="shared" si="0"/>
        <v>44195</v>
      </c>
      <c r="B19" s="29">
        <f>EXP(-2%*YEARFRAC(A19,$A$10))</f>
        <v>0.835270211411272</v>
      </c>
      <c r="D19" s="23" t="s">
        <v>34</v>
      </c>
      <c r="E19" s="9"/>
    </row>
    <row r="20" spans="1:5" ht="15">
      <c r="A20" s="36">
        <f t="shared" si="0"/>
        <v>44560</v>
      </c>
      <c r="B20" s="29">
        <f>EXP(-2%*YEARFRAC(A20,$A$10))</f>
        <v>0.8187307530779818</v>
      </c>
      <c r="D20" s="18" t="s">
        <v>29</v>
      </c>
      <c r="E20" s="30">
        <f>IF(E22&gt;0,E15,E14)</f>
        <v>0.02</v>
      </c>
    </row>
    <row r="21" spans="1:5" ht="15">
      <c r="A21" s="36">
        <f t="shared" si="0"/>
        <v>44925</v>
      </c>
      <c r="B21" s="29">
        <f>EXP(-2%*YEARFRAC(A21,$A$10))</f>
        <v>0.8025187979624785</v>
      </c>
      <c r="D21" s="13" t="s">
        <v>28</v>
      </c>
      <c r="E21" s="15">
        <f>SUM(E9:E11)</f>
        <v>132000</v>
      </c>
    </row>
    <row r="22" spans="1:5" ht="15">
      <c r="A22" s="36">
        <f t="shared" si="0"/>
        <v>45290</v>
      </c>
      <c r="B22" s="29">
        <f>EXP(-2%*YEARFRAC(A22,$A$10))</f>
        <v>0.7866278610665535</v>
      </c>
      <c r="D22" s="13" t="s">
        <v>23</v>
      </c>
      <c r="E22" s="24">
        <f>(1-E23)*SUM(E9:E11)</f>
        <v>79200</v>
      </c>
    </row>
    <row r="23" spans="1:13" ht="15.75" thickBot="1">
      <c r="A23" s="37">
        <f t="shared" si="0"/>
        <v>45656</v>
      </c>
      <c r="B23" s="32">
        <f>EXP(-2%*YEARFRAC(A23,$A$10))</f>
        <v>0.7710515858035663</v>
      </c>
      <c r="C23" s="7"/>
      <c r="D23" s="13" t="s">
        <v>26</v>
      </c>
      <c r="E23" s="25">
        <v>0.4</v>
      </c>
      <c r="F23" s="7"/>
      <c r="G23" s="7"/>
      <c r="J23" s="7"/>
      <c r="K23" s="7"/>
      <c r="L23" s="7"/>
      <c r="M23" s="7"/>
    </row>
    <row r="24" spans="3:13" ht="15">
      <c r="C24" s="7"/>
      <c r="D24" s="26" t="s">
        <v>9</v>
      </c>
      <c r="E24" s="27" t="s">
        <v>1</v>
      </c>
      <c r="F24" s="7"/>
      <c r="G24" s="7"/>
      <c r="J24" s="7"/>
      <c r="K24" s="7"/>
      <c r="L24" s="7"/>
      <c r="M24" s="7"/>
    </row>
    <row r="25" spans="3:13" ht="15">
      <c r="C25" s="7"/>
      <c r="D25" s="28" t="s">
        <v>22</v>
      </c>
      <c r="E25" s="29" t="str">
        <f>_XLL.QLEURIBOR("dummyLibor","6m",E26)</f>
        <v>dummyLibor#0007</v>
      </c>
      <c r="F25" s="7"/>
      <c r="G25" s="7"/>
      <c r="H25" s="7"/>
      <c r="J25" s="7"/>
      <c r="K25" s="7"/>
      <c r="L25" s="7"/>
      <c r="M25" s="7"/>
    </row>
    <row r="26" spans="3:13" ht="15">
      <c r="C26" s="7"/>
      <c r="D26" s="28" t="s">
        <v>17</v>
      </c>
      <c r="E26" s="29" t="str">
        <f>_XLL.QLFLATFORWARD("flat0",,"null",0,)</f>
        <v>flat0#0003</v>
      </c>
      <c r="F26" s="7"/>
      <c r="G26" s="7"/>
      <c r="L26" s="7"/>
      <c r="M26" s="7"/>
    </row>
    <row r="27" spans="3:13" ht="15">
      <c r="C27" s="7"/>
      <c r="D27" s="28" t="s">
        <v>14</v>
      </c>
      <c r="E27" s="29" t="str">
        <f>_XLL.QLVANILLASWAP("annuity","payer",E28,E29,E30,E31,E32,E25,0,"actual/360")</f>
        <v>annuity#0059</v>
      </c>
      <c r="F27" s="7"/>
      <c r="G27" s="7"/>
      <c r="L27" s="7"/>
      <c r="M27" s="7"/>
    </row>
    <row r="28" spans="3:13" ht="15">
      <c r="C28" s="7"/>
      <c r="D28" s="28" t="s">
        <v>19</v>
      </c>
      <c r="E28" s="29">
        <f>E22</f>
        <v>79200</v>
      </c>
      <c r="F28" s="7"/>
      <c r="G28" s="7"/>
      <c r="L28" s="7"/>
      <c r="M28" s="7"/>
    </row>
    <row r="29" spans="3:13" ht="15">
      <c r="C29" s="7"/>
      <c r="D29" s="28" t="s">
        <v>11</v>
      </c>
      <c r="E29" s="29" t="str">
        <f>'simpliefied portfolio CVA '!$E$33</f>
        <v>fixedsched#0020</v>
      </c>
      <c r="F29" s="7"/>
      <c r="G29" s="7"/>
      <c r="L29" s="7"/>
      <c r="M29" s="7"/>
    </row>
    <row r="30" spans="3:13" ht="15">
      <c r="C30" s="7"/>
      <c r="D30" s="28" t="s">
        <v>16</v>
      </c>
      <c r="E30" s="30">
        <f>E20</f>
        <v>0.02</v>
      </c>
      <c r="F30" s="7"/>
      <c r="G30" s="7"/>
      <c r="L30" s="7"/>
      <c r="M30" s="7"/>
    </row>
    <row r="31" spans="3:13" ht="15">
      <c r="C31" s="7"/>
      <c r="D31" s="28" t="s">
        <v>12</v>
      </c>
      <c r="E31" s="29" t="s">
        <v>0</v>
      </c>
      <c r="F31" s="7"/>
      <c r="G31" s="7"/>
      <c r="L31" s="7"/>
      <c r="M31" s="7"/>
    </row>
    <row r="32" spans="3:13" ht="15">
      <c r="C32" s="7"/>
      <c r="D32" s="28" t="s">
        <v>13</v>
      </c>
      <c r="E32" s="29" t="str">
        <f>_XLL.QLSCHEDULE("floatsched",E34+10,E35,"3m",E24,"following","following","backward",)</f>
        <v>floatsched#0029</v>
      </c>
      <c r="G32" s="7"/>
      <c r="M32" s="7"/>
    </row>
    <row r="33" spans="3:13" ht="15">
      <c r="C33" s="7"/>
      <c r="D33" s="28" t="s">
        <v>18</v>
      </c>
      <c r="E33" s="29" t="str">
        <f>_XLL.QLSCHEDULE("fixedsched",E34,E35,"3m",E24,"following","following","backward",)</f>
        <v>fixedsched#0020</v>
      </c>
      <c r="G33" s="7"/>
      <c r="M33" s="7"/>
    </row>
    <row r="34" spans="3:7" ht="15">
      <c r="C34" s="7"/>
      <c r="D34" s="28" t="s">
        <v>27</v>
      </c>
      <c r="E34" s="19">
        <f>B3</f>
        <v>40907</v>
      </c>
      <c r="G34" s="7"/>
    </row>
    <row r="35" spans="3:7" ht="15">
      <c r="C35" s="7"/>
      <c r="D35" s="28" t="s">
        <v>15</v>
      </c>
      <c r="E35" s="19">
        <f>E13</f>
        <v>42734</v>
      </c>
      <c r="G35" s="7"/>
    </row>
    <row r="36" spans="3:7" ht="15">
      <c r="C36" s="7"/>
      <c r="D36" s="43" t="s">
        <v>39</v>
      </c>
      <c r="E36" s="29" t="str">
        <f>_XLL.QLDISCOUNTINGSWAPENGINE("discountingengine",B9,)</f>
        <v>discountingengine#0008</v>
      </c>
      <c r="G36" s="7"/>
    </row>
    <row r="37" spans="3:10" ht="15">
      <c r="C37" s="7"/>
      <c r="D37" s="28" t="s">
        <v>10</v>
      </c>
      <c r="E37" s="29" t="b">
        <f>_XLL.QLINSTRUMENTSETPRICINGENGINE(E27,E36)</f>
        <v>1</v>
      </c>
      <c r="F37" s="7"/>
      <c r="G37" s="7"/>
      <c r="J37" s="7"/>
    </row>
    <row r="38" spans="3:10" ht="15.75" thickBot="1">
      <c r="C38" s="7"/>
      <c r="D38" s="31" t="s">
        <v>30</v>
      </c>
      <c r="E38" s="32">
        <f>_XLL.QLINSTRUMENTNPV(E27,E37)</f>
        <v>-7630.822186912494</v>
      </c>
      <c r="G38" s="7"/>
      <c r="J38" s="7"/>
    </row>
    <row r="39" spans="3:13" ht="15">
      <c r="C39" s="7"/>
      <c r="G39" s="7"/>
      <c r="J39" s="7"/>
      <c r="M39" s="7"/>
    </row>
    <row r="40" spans="3:15" ht="15">
      <c r="C40" s="7"/>
      <c r="G40" s="7"/>
      <c r="J40" s="7"/>
      <c r="K40" s="7"/>
      <c r="L40" s="7"/>
      <c r="M40" s="7"/>
      <c r="O40" s="4"/>
    </row>
    <row r="41" spans="3:15" ht="15">
      <c r="C41" s="7"/>
      <c r="G41" s="7"/>
      <c r="J41" s="7"/>
      <c r="K41" s="7"/>
      <c r="L41" s="7"/>
      <c r="M41" s="7"/>
      <c r="O41" s="4"/>
    </row>
    <row r="42" spans="3:13" ht="15">
      <c r="C42" s="7"/>
      <c r="G42" s="7"/>
      <c r="K42" s="7"/>
      <c r="L42" s="7"/>
      <c r="M42" s="7"/>
    </row>
    <row r="43" spans="3:13" ht="15">
      <c r="C43" s="7"/>
      <c r="G43" s="7"/>
      <c r="K43" s="7"/>
      <c r="L43" s="7"/>
      <c r="M43" s="7"/>
    </row>
    <row r="44" spans="3:13" ht="15">
      <c r="C44" s="7"/>
      <c r="G44" s="7"/>
      <c r="K44" s="7"/>
      <c r="L44" s="7"/>
      <c r="M44" s="7"/>
    </row>
    <row r="45" spans="3:13" ht="15">
      <c r="C45" s="7"/>
      <c r="G45" s="7"/>
      <c r="J45" s="7"/>
      <c r="K45" s="7"/>
      <c r="L45" s="7"/>
      <c r="M45" s="7"/>
    </row>
    <row r="46" spans="3:13" ht="15">
      <c r="C46" s="7"/>
      <c r="G46" s="7"/>
      <c r="J46" s="7"/>
      <c r="K46" s="7"/>
      <c r="L46" s="7"/>
      <c r="M46" s="7"/>
    </row>
  </sheetData>
  <sheetProtection/>
  <dataValidations count="2">
    <dataValidation type="list" allowBlank="1" showInputMessage="1" showErrorMessage="1" sqref="E31">
      <formula1>"Actual/Actual (ISDA),Actual/360,30/360 (Bond Basis),30E/360 (Eurobond Basis),Actual/365 (Fixed),Actual/Actual (ISMA),Actual/Actual (AFB),'1/1,30/360 (Italian),Simple"</formula1>
    </dataValidation>
    <dataValidation type="list" allowBlank="1" showInputMessage="1" showErrorMessage="1" sqref="E24">
      <formula1>"TARGET,UnitedKingdom::Exchange,UnitedKingdom::Metals,UnitedKingdom::Settlement,UnitedStates::GovernmentBond,UnitedStates::NERC,UnitedStates::NYSE,UnitedStates::Settlement,Italy::Exchange,Switzerland,Japan"</formula1>
    </dataValidation>
  </dataValidations>
  <hyperlinks>
    <hyperlink ref="A1" r:id="rId1" display="http://www.PriceDerivatives.com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2013-10-04T16:46:54Z</dcterms:created>
  <dcterms:modified xsi:type="dcterms:W3CDTF">2013-10-08T03:08:43Z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