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680" windowHeight="9090" activeTab="0"/>
  </bookViews>
  <sheets>
    <sheet name="Amortizing swap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<sst xmlns="http://schemas.openxmlformats.org/spreadsheetml/2006/main" count="36" uniqueCount="34">
  <si>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Actual/360</t>
  </si>
  <si>
    <t>forward</t>
  </si>
  <si>
    <t>nominal</t>
  </si>
  <si>
    <t>fixing date</t>
  </si>
  <si>
    <t>calendar</t>
  </si>
  <si>
    <t>floating leg</t>
  </si>
  <si>
    <t>fixed leg</t>
  </si>
  <si>
    <t>year fraction</t>
  </si>
  <si>
    <t>payment</t>
  </si>
  <si>
    <t>floating payment</t>
  </si>
  <si>
    <t>fixed rate</t>
  </si>
  <si>
    <t>discount factor</t>
  </si>
  <si>
    <t>NPV</t>
  </si>
  <si>
    <t>Target</t>
  </si>
  <si>
    <t>valuation date</t>
  </si>
  <si>
    <t>period start</t>
  </si>
  <si>
    <t>payment date</t>
  </si>
  <si>
    <t>discount curve</t>
  </si>
  <si>
    <t>projecting curve</t>
  </si>
  <si>
    <t>http://www.PriceDerivatives.com</t>
  </si>
  <si>
    <t>PV cashflows</t>
  </si>
  <si>
    <t>Euribor6m</t>
  </si>
  <si>
    <t>Euribor3m</t>
  </si>
  <si>
    <t>Example amortizing swap valuation with quantlib excel addin</t>
  </si>
  <si>
    <t>daycounter Fixed leg</t>
  </si>
  <si>
    <t>daycounter Floating leg</t>
  </si>
  <si>
    <t>1) get quantlib excel addin http://quantlib.org/quantlibxl/</t>
  </si>
  <si>
    <t>2) open quantlib...xll file in quantlib xll directory</t>
  </si>
  <si>
    <t>3) recalculate spreadsheet</t>
  </si>
  <si>
    <t>sample flat rate 2% curve</t>
  </si>
  <si>
    <t>sample flat 3% curve</t>
  </si>
  <si>
    <t>Amortizing swap terms</t>
  </si>
  <si>
    <t>floating leg tenor</t>
  </si>
  <si>
    <t>3m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</si>
</sst>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,\ dd\-mmm\-yyyy"/>
    <numFmt numFmtId="165" formatCode="0.000%"/>
    <numFmt numFmtId="166" formatCode="0.000"/>
    <numFmt numFmtId="167" formatCode="0.0000"/>
    <numFmt numFmtId="168" formatCode="_-* #,##0.00\ &quot;€&quot;_-;\-* #,##0.00\ &quot;€&quot;_-;_-* &quot;-&quot;??\ &quot;€&quot;_-;_-@_-"/>
    <numFmt numFmtId="169" formatCode="0.00000"/>
    <numFmt numFmtId="170" formatCode="0.000000"/>
    <numFmt numFmtId="171" formatCode="0.0000%"/>
    <numFmt numFmtId="172" formatCode="_-* #,##0.00\ [$€-C0A]_-;\-* #,##0.00\ [$€-C0A]_-;_-* &quot;-&quot;??\ [$€-C0A]_-;_-@_-"/>
    <numFmt numFmtId="173" formatCode="#,##0.00_ ;\-#,##0.00\ "/>
    <numFmt numFmtId="174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66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40" fillId="0" borderId="17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9" xfId="0" applyNumberFormat="1" applyBorder="1" applyAlignment="1">
      <alignment/>
    </xf>
    <xf numFmtId="14" fontId="43" fillId="0" borderId="21" xfId="0" applyNumberFormat="1" applyFont="1" applyBorder="1" applyAlignment="1">
      <alignment/>
    </xf>
    <xf numFmtId="14" fontId="43" fillId="0" borderId="22" xfId="0" applyNumberFormat="1" applyFont="1" applyBorder="1" applyAlignment="1">
      <alignment/>
    </xf>
    <xf numFmtId="14" fontId="43" fillId="0" borderId="23" xfId="0" applyNumberFormat="1" applyFont="1" applyBorder="1" applyAlignment="1">
      <alignment/>
    </xf>
    <xf numFmtId="167" fontId="40" fillId="0" borderId="2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2" fontId="0" fillId="0" borderId="11" xfId="0" applyNumberFormat="1" applyBorder="1" applyAlignment="1">
      <alignment/>
    </xf>
    <xf numFmtId="164" fontId="4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169" fontId="0" fillId="0" borderId="23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70" fontId="0" fillId="0" borderId="0" xfId="0" applyNumberFormat="1" applyBorder="1" applyAlignment="1">
      <alignment/>
    </xf>
    <xf numFmtId="14" fontId="44" fillId="0" borderId="10" xfId="0" applyNumberFormat="1" applyFont="1" applyBorder="1" applyAlignment="1">
      <alignment/>
    </xf>
    <xf numFmtId="14" fontId="44" fillId="0" borderId="12" xfId="0" applyNumberFormat="1" applyFont="1" applyBorder="1" applyAlignment="1">
      <alignment/>
    </xf>
    <xf numFmtId="0" fontId="0" fillId="0" borderId="0" xfId="0" applyAlignment="1">
      <alignment/>
    </xf>
    <xf numFmtId="10" fontId="0" fillId="0" borderId="0" xfId="60" applyNumberFormat="1" applyFont="1" applyAlignment="1">
      <alignment/>
    </xf>
    <xf numFmtId="10" fontId="0" fillId="0" borderId="0" xfId="0" applyNumberFormat="1" applyAlignment="1">
      <alignment/>
    </xf>
    <xf numFmtId="14" fontId="44" fillId="0" borderId="0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8" xfId="0" applyNumberFormat="1" applyBorder="1" applyAlignment="1">
      <alignment/>
    </xf>
    <xf numFmtId="14" fontId="44" fillId="0" borderId="13" xfId="0" applyNumberFormat="1" applyFont="1" applyBorder="1" applyAlignment="1">
      <alignment/>
    </xf>
    <xf numFmtId="9" fontId="0" fillId="0" borderId="18" xfId="0" applyNumberFormat="1" applyBorder="1" applyAlignment="1">
      <alignment/>
    </xf>
    <xf numFmtId="0" fontId="40" fillId="0" borderId="12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40" fillId="13" borderId="25" xfId="0" applyFont="1" applyFill="1" applyBorder="1" applyAlignment="1">
      <alignment/>
    </xf>
    <xf numFmtId="2" fontId="0" fillId="13" borderId="26" xfId="0" applyNumberFormat="1" applyFill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6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cederivativ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25.421875" style="0" customWidth="1"/>
    <col min="2" max="2" width="16.140625" style="0" customWidth="1"/>
    <col min="3" max="3" width="15.421875" style="0" customWidth="1"/>
    <col min="4" max="4" width="16.00390625" style="0" customWidth="1"/>
    <col min="5" max="5" width="13.8515625" style="0" customWidth="1"/>
    <col min="6" max="7" width="14.28125" style="0" customWidth="1"/>
    <col min="8" max="8" width="15.140625" style="0" customWidth="1"/>
    <col min="9" max="9" width="12.7109375" style="0" customWidth="1"/>
    <col min="10" max="10" width="14.57421875" style="0" customWidth="1"/>
    <col min="11" max="11" width="14.28125" style="0" bestFit="1" customWidth="1"/>
    <col min="12" max="12" width="12.7109375" style="0" customWidth="1"/>
  </cols>
  <sheetData>
    <row r="1" spans="1:4" ht="33.75">
      <c r="A1" s="65" t="s">
        <v>19</v>
      </c>
      <c r="D1" s="3" t="s">
        <v>23</v>
      </c>
    </row>
    <row r="2" spans="5:8" ht="15">
      <c r="E2" s="64" t="s">
        <v>29</v>
      </c>
      <c r="H2" s="64" t="s">
        <v>30</v>
      </c>
    </row>
    <row r="3" spans="1:9" ht="15">
      <c r="A3" s="8" t="s">
        <v>14</v>
      </c>
      <c r="B3" s="38">
        <v>40907</v>
      </c>
      <c r="E3" s="4" t="s">
        <v>17</v>
      </c>
      <c r="F3" s="13" t="s">
        <v>21</v>
      </c>
      <c r="H3" s="4" t="s">
        <v>18</v>
      </c>
      <c r="I3" s="13" t="s">
        <v>22</v>
      </c>
    </row>
    <row r="4" spans="1:9" ht="15">
      <c r="A4" s="41" t="b">
        <f>_XLL.QLSETTINGSSETEVALUATIONDATE(B3)</f>
        <v>1</v>
      </c>
      <c r="B4" s="42">
        <f>_XLL.QLSETTINGSEVALUATIONDATE(A4)</f>
        <v>40907</v>
      </c>
      <c r="E4" s="21"/>
      <c r="F4" s="23" t="str">
        <f>_XLL.QLINTERPOLATEDYIELDCURVE("EUR6m",E5:E18,F5:F18,"target","actual/360",,,"Discount","LogLinear")</f>
        <v>EUR6m#0001</v>
      </c>
      <c r="H4" s="21"/>
      <c r="I4" s="23" t="str">
        <f>_XLL.QLINTERPOLATEDYIELDCURVE("EUR3m",H5:H18,I5:I18,"target","actual/360",,,"Discount","loglinear")</f>
        <v>EUR3m#0001</v>
      </c>
    </row>
    <row r="5" spans="5:9" ht="15">
      <c r="E5" s="47">
        <f>B3</f>
        <v>40907</v>
      </c>
      <c r="F5" s="53">
        <v>1</v>
      </c>
      <c r="G5" s="49"/>
      <c r="H5" s="47">
        <f>B3</f>
        <v>40907</v>
      </c>
      <c r="I5" s="53">
        <v>1</v>
      </c>
    </row>
    <row r="6" spans="5:9" ht="15">
      <c r="E6" s="48">
        <f aca="true" t="shared" si="0" ref="E6:E18">EDATE(E5,12)</f>
        <v>41273</v>
      </c>
      <c r="F6" s="54">
        <f>EXP(-2%*YEARFRAC(E6,$E$5))</f>
        <v>0.9801986733067553</v>
      </c>
      <c r="H6" s="48">
        <f aca="true" t="shared" si="1" ref="H6:H18">EDATE(H5,12)</f>
        <v>41273</v>
      </c>
      <c r="I6" s="54">
        <f>EXP(-3%*YEARFRAC(H6,$H$5))</f>
        <v>0.9704455335485082</v>
      </c>
    </row>
    <row r="7" spans="1:9" ht="15">
      <c r="A7" s="2" t="s">
        <v>31</v>
      </c>
      <c r="E7" s="48">
        <f t="shared" si="0"/>
        <v>41638</v>
      </c>
      <c r="F7" s="54">
        <f aca="true" t="shared" si="2" ref="F7:F18">EXP(-2%*YEARFRAC(E7,$E$5))</f>
        <v>0.9607894391523232</v>
      </c>
      <c r="H7" s="48">
        <f t="shared" si="1"/>
        <v>41638</v>
      </c>
      <c r="I7" s="54">
        <f aca="true" t="shared" si="3" ref="I7:I18">EXP(-3%*YEARFRAC(H7,$H$5))</f>
        <v>0.9417645335842487</v>
      </c>
    </row>
    <row r="8" spans="1:11" ht="15">
      <c r="A8" s="4" t="s">
        <v>4</v>
      </c>
      <c r="B8" s="35" t="s">
        <v>13</v>
      </c>
      <c r="E8" s="48">
        <f t="shared" si="0"/>
        <v>42003</v>
      </c>
      <c r="F8" s="54">
        <f t="shared" si="2"/>
        <v>0.9417645335842487</v>
      </c>
      <c r="H8" s="48">
        <f t="shared" si="1"/>
        <v>42003</v>
      </c>
      <c r="I8" s="54">
        <f t="shared" si="3"/>
        <v>0.9139311852712282</v>
      </c>
      <c r="K8" t="s">
        <v>26</v>
      </c>
    </row>
    <row r="9" spans="1:11" ht="15">
      <c r="A9" s="36" t="s">
        <v>24</v>
      </c>
      <c r="B9" s="37" t="s">
        <v>0</v>
      </c>
      <c r="E9" s="48">
        <f t="shared" si="0"/>
        <v>42368</v>
      </c>
      <c r="F9" s="54">
        <f t="shared" si="2"/>
        <v>0.9231163463866358</v>
      </c>
      <c r="H9" s="48">
        <f t="shared" si="1"/>
        <v>42368</v>
      </c>
      <c r="I9" s="54">
        <f t="shared" si="3"/>
        <v>0.8869204367171575</v>
      </c>
      <c r="K9" t="s">
        <v>27</v>
      </c>
    </row>
    <row r="10" spans="1:11" ht="15">
      <c r="A10" s="36" t="s">
        <v>25</v>
      </c>
      <c r="B10" s="37" t="s">
        <v>0</v>
      </c>
      <c r="E10" s="48">
        <f t="shared" si="0"/>
        <v>42734</v>
      </c>
      <c r="F10" s="54">
        <f t="shared" si="2"/>
        <v>0.9048374180359595</v>
      </c>
      <c r="H10" s="48">
        <f t="shared" si="1"/>
        <v>42734</v>
      </c>
      <c r="I10" s="54">
        <f t="shared" si="3"/>
        <v>0.8607079764250578</v>
      </c>
      <c r="K10" t="s">
        <v>28</v>
      </c>
    </row>
    <row r="11" spans="1:9" ht="15">
      <c r="A11" s="36" t="s">
        <v>10</v>
      </c>
      <c r="B11" s="56">
        <v>0.05</v>
      </c>
      <c r="D11" s="1"/>
      <c r="E11" s="48">
        <f t="shared" si="0"/>
        <v>43099</v>
      </c>
      <c r="F11" s="54">
        <f t="shared" si="2"/>
        <v>0.8869204367171575</v>
      </c>
      <c r="H11" s="48">
        <f t="shared" si="1"/>
        <v>43099</v>
      </c>
      <c r="I11" s="54">
        <f t="shared" si="3"/>
        <v>0.835270211411272</v>
      </c>
    </row>
    <row r="12" spans="1:9" ht="15.75" thickBot="1">
      <c r="A12" s="57" t="s">
        <v>32</v>
      </c>
      <c r="B12" s="58" t="s">
        <v>33</v>
      </c>
      <c r="E12" s="48">
        <f t="shared" si="0"/>
        <v>43464</v>
      </c>
      <c r="F12" s="54">
        <f t="shared" si="2"/>
        <v>0.8693582353988059</v>
      </c>
      <c r="H12" s="48">
        <f t="shared" si="1"/>
        <v>43464</v>
      </c>
      <c r="I12" s="54">
        <f t="shared" si="3"/>
        <v>0.8105842459701871</v>
      </c>
    </row>
    <row r="13" spans="1:9" ht="15.75" thickBot="1">
      <c r="A13" s="59" t="s">
        <v>12</v>
      </c>
      <c r="B13" s="60">
        <f>SUM(L22:L31)</f>
        <v>-46754.999911680774</v>
      </c>
      <c r="E13" s="48">
        <f t="shared" si="0"/>
        <v>43829</v>
      </c>
      <c r="F13" s="54">
        <f t="shared" si="2"/>
        <v>0.8521437889662113</v>
      </c>
      <c r="H13" s="48">
        <f t="shared" si="1"/>
        <v>43829</v>
      </c>
      <c r="I13" s="54">
        <f t="shared" si="3"/>
        <v>0.7866278610665535</v>
      </c>
    </row>
    <row r="14" spans="5:9" ht="15">
      <c r="E14" s="48">
        <f t="shared" si="0"/>
        <v>44195</v>
      </c>
      <c r="F14" s="54">
        <f t="shared" si="2"/>
        <v>0.835270211411272</v>
      </c>
      <c r="H14" s="48">
        <f t="shared" si="1"/>
        <v>44195</v>
      </c>
      <c r="I14" s="54">
        <f t="shared" si="3"/>
        <v>0.7633794943368531</v>
      </c>
    </row>
    <row r="15" spans="2:9" ht="15">
      <c r="B15" s="50"/>
      <c r="E15" s="48">
        <f t="shared" si="0"/>
        <v>44560</v>
      </c>
      <c r="F15" s="54">
        <f t="shared" si="2"/>
        <v>0.8187307530779818</v>
      </c>
      <c r="H15" s="48">
        <f t="shared" si="1"/>
        <v>44560</v>
      </c>
      <c r="I15" s="54">
        <f t="shared" si="3"/>
        <v>0.7408182206817179</v>
      </c>
    </row>
    <row r="16" spans="5:9" ht="15">
      <c r="E16" s="48">
        <f t="shared" si="0"/>
        <v>44925</v>
      </c>
      <c r="F16" s="54">
        <f t="shared" si="2"/>
        <v>0.8025187979624785</v>
      </c>
      <c r="H16" s="48">
        <f t="shared" si="1"/>
        <v>44925</v>
      </c>
      <c r="I16" s="54">
        <f t="shared" si="3"/>
        <v>0.7189237334319262</v>
      </c>
    </row>
    <row r="17" spans="5:9" ht="15">
      <c r="E17" s="48">
        <f t="shared" si="0"/>
        <v>45290</v>
      </c>
      <c r="F17" s="54">
        <f t="shared" si="2"/>
        <v>0.7866278610665535</v>
      </c>
      <c r="H17" s="48">
        <f t="shared" si="1"/>
        <v>45290</v>
      </c>
      <c r="I17" s="54">
        <f t="shared" si="3"/>
        <v>0.697676326071031</v>
      </c>
    </row>
    <row r="18" spans="2:9" ht="15">
      <c r="B18" s="51"/>
      <c r="E18" s="55">
        <f t="shared" si="0"/>
        <v>45656</v>
      </c>
      <c r="F18" s="54">
        <f t="shared" si="2"/>
        <v>0.7710515858035663</v>
      </c>
      <c r="H18" s="55">
        <f t="shared" si="1"/>
        <v>45656</v>
      </c>
      <c r="I18" s="54">
        <f t="shared" si="3"/>
        <v>0.6770568744981647</v>
      </c>
    </row>
    <row r="19" spans="8:9" ht="15">
      <c r="H19" s="52"/>
      <c r="I19" s="46"/>
    </row>
    <row r="20" spans="5:9" ht="15">
      <c r="E20" s="4" t="s">
        <v>5</v>
      </c>
      <c r="F20" s="12"/>
      <c r="G20" s="13"/>
      <c r="H20" s="4" t="s">
        <v>6</v>
      </c>
      <c r="I20" s="13"/>
    </row>
    <row r="21" spans="1:12" ht="15">
      <c r="A21" s="4" t="s">
        <v>15</v>
      </c>
      <c r="B21" s="5" t="s">
        <v>16</v>
      </c>
      <c r="C21" s="25" t="s">
        <v>2</v>
      </c>
      <c r="D21" s="25" t="s">
        <v>3</v>
      </c>
      <c r="E21" s="8" t="s">
        <v>1</v>
      </c>
      <c r="F21" s="10" t="s">
        <v>7</v>
      </c>
      <c r="G21" s="9" t="s">
        <v>9</v>
      </c>
      <c r="H21" s="8" t="s">
        <v>7</v>
      </c>
      <c r="I21" s="9" t="s">
        <v>8</v>
      </c>
      <c r="J21" s="34" t="s">
        <v>11</v>
      </c>
      <c r="K21" s="11"/>
      <c r="L21" s="9" t="s">
        <v>20</v>
      </c>
    </row>
    <row r="22" spans="1:12" ht="15">
      <c r="A22" s="28">
        <v>41294</v>
      </c>
      <c r="B22" s="29">
        <f aca="true" t="shared" si="4" ref="B22:B31">EDATE(A22,3)</f>
        <v>41384</v>
      </c>
      <c r="C22" s="12">
        <v>1000000</v>
      </c>
      <c r="D22" s="31">
        <f>_XLL.QLCALENDARADVANCE($B$8,A22,"-2d","following",TRUE,TRUE)</f>
        <v>41291</v>
      </c>
      <c r="E22" s="61">
        <f>_XLL.QLYIELDTSFORWARDRATE2($I$4,D22,$B$12,"actual/360",)</f>
        <v>0.029698750364177684</v>
      </c>
      <c r="F22" s="14">
        <f>_XLL.QLDAYCOUNTERYEARFRACTION($B$10,A22,B22,)</f>
        <v>0.25</v>
      </c>
      <c r="G22" s="15">
        <f aca="true" t="shared" si="5" ref="G22:G27">C22*E22*F22</f>
        <v>7424.687591044421</v>
      </c>
      <c r="H22" s="18">
        <f>_XLL.QLDAYCOUNTERYEARFRACTION($B$9,A22,B22,)</f>
        <v>0.25</v>
      </c>
      <c r="I22" s="15">
        <f aca="true" t="shared" si="6" ref="I22:I31">$B$11*H22*C22</f>
        <v>12500</v>
      </c>
      <c r="J22" s="44">
        <f>_XLL.QLYIELDTSDISCOUNT($F$4,B22,TRUE,)</f>
        <v>0.9742550105635818</v>
      </c>
      <c r="K22" s="20">
        <f aca="true" t="shared" si="7" ref="K22:K31">(G22-I22)*J22</f>
        <v>-4944.6485446004945</v>
      </c>
      <c r="L22" s="40">
        <f>IF(ISNUMBER(K22),K22,"")</f>
        <v>-4944.6485446004945</v>
      </c>
    </row>
    <row r="23" spans="1:12" ht="15">
      <c r="A23" s="6">
        <f>B22</f>
        <v>41384</v>
      </c>
      <c r="B23" s="26">
        <f t="shared" si="4"/>
        <v>41475</v>
      </c>
      <c r="C23" s="27">
        <f>C22-10000</f>
        <v>990000</v>
      </c>
      <c r="D23" s="32">
        <f>_XLL.QLCALENDARADVANCE($B$8,A23,"-2d","following",TRUE,TRUE)</f>
        <v>41382</v>
      </c>
      <c r="E23" s="62">
        <f>_XLL.QLYIELDTSFORWARDRATE2($I$4,D23,$B$12,"actual/360",)</f>
        <v>0.029699972398989295</v>
      </c>
      <c r="F23" s="14">
        <f>_XLL.QLDAYCOUNTERYEARFRACTION($B$10,A23,B23,)</f>
        <v>0.25277777777777777</v>
      </c>
      <c r="G23" s="15">
        <f t="shared" si="5"/>
        <v>7432.4180928470705</v>
      </c>
      <c r="H23" s="18">
        <f>_XLL.QLDAYCOUNTERYEARFRACTION($B$9,A23,B23,)</f>
        <v>0.25277777777777777</v>
      </c>
      <c r="I23" s="15">
        <f t="shared" si="6"/>
        <v>12512.5</v>
      </c>
      <c r="J23" s="45">
        <f>_XLL.QLYIELDTSDISCOUNT($F$4,B23,TRUE,)</f>
        <v>0.969409172913518</v>
      </c>
      <c r="K23" s="22">
        <f t="shared" si="7"/>
        <v>-4924.677999946049</v>
      </c>
      <c r="L23" s="15">
        <f>IF(ISNUMBER(K23),K23,"")</f>
        <v>-4924.677999946049</v>
      </c>
    </row>
    <row r="24" spans="1:12" ht="15">
      <c r="A24" s="6">
        <f>B23</f>
        <v>41475</v>
      </c>
      <c r="B24" s="26">
        <f t="shared" si="4"/>
        <v>41567</v>
      </c>
      <c r="C24" s="27">
        <f aca="true" t="shared" si="8" ref="C24:C31">C23-10000</f>
        <v>980000</v>
      </c>
      <c r="D24" s="32">
        <f>_XLL.QLCALENDARADVANCE($B$8,A24,"-2d","following",TRUE,TRUE)</f>
        <v>41473</v>
      </c>
      <c r="E24" s="62">
        <f>_XLL.QLYIELDTSFORWARDRATE2($I$4,D24,$B$12,"actual/360",)</f>
        <v>0.029701194500805172</v>
      </c>
      <c r="F24" s="14">
        <f>_XLL.QLDAYCOUNTERYEARFRACTION($B$10,A24,B24,)</f>
        <v>0.25555555555555554</v>
      </c>
      <c r="G24" s="15">
        <f t="shared" si="5"/>
        <v>7438.499156090539</v>
      </c>
      <c r="H24" s="18">
        <f>_XLL.QLDAYCOUNTERYEARFRACTION($B$9,A24,B24,)</f>
        <v>0.25555555555555554</v>
      </c>
      <c r="I24" s="15">
        <f t="shared" si="6"/>
        <v>12522.22222222222</v>
      </c>
      <c r="J24" s="45">
        <f>_XLL.QLYIELDTSDISCOUNT($F$4,B24,TRUE,)</f>
        <v>0.9645345852706944</v>
      </c>
      <c r="K24" s="22">
        <f t="shared" si="7"/>
        <v>-4903.426719222384</v>
      </c>
      <c r="L24" s="15">
        <f>IF(ISNUMBER(K24),K24,"")</f>
        <v>-4903.426719222384</v>
      </c>
    </row>
    <row r="25" spans="1:12" ht="15">
      <c r="A25" s="6">
        <f aca="true" t="shared" si="9" ref="A25:A31">B24</f>
        <v>41567</v>
      </c>
      <c r="B25" s="26">
        <f t="shared" si="4"/>
        <v>41659</v>
      </c>
      <c r="C25" s="27">
        <f t="shared" si="8"/>
        <v>970000</v>
      </c>
      <c r="D25" s="32">
        <f>_XLL.QLCALENDARADVANCE($B$8,A25,"-2d","following",TRUE,TRUE)</f>
        <v>41564</v>
      </c>
      <c r="E25" s="62">
        <f>_XLL.QLYIELDTSFORWARDRATE2($I$4,D25,$B$12,"actual/360",)</f>
        <v>0.029701194500805172</v>
      </c>
      <c r="F25" s="14">
        <f>_XLL.QLDAYCOUNTERYEARFRACTION($B$10,A25,B25,)</f>
        <v>0.25555555555555554</v>
      </c>
      <c r="G25" s="15">
        <f t="shared" si="5"/>
        <v>7362.596103477371</v>
      </c>
      <c r="H25" s="18">
        <f>_XLL.QLDAYCOUNTERYEARFRACTION($B$9,A25,B25,)</f>
        <v>0.25555555555555554</v>
      </c>
      <c r="I25" s="15">
        <f t="shared" si="6"/>
        <v>12394.444444444443</v>
      </c>
      <c r="J25" s="45">
        <f>_XLL.QLYIELDTSDISCOUNT($F$4,B25,TRUE,)</f>
        <v>0.9596845090574625</v>
      </c>
      <c r="K25" s="22">
        <f t="shared" si="7"/>
        <v>-4828.986904752592</v>
      </c>
      <c r="L25" s="15">
        <f>IF(ISNUMBER(K25),K25,"")</f>
        <v>-4828.986904752592</v>
      </c>
    </row>
    <row r="26" spans="1:12" ht="15">
      <c r="A26" s="6">
        <f t="shared" si="9"/>
        <v>41659</v>
      </c>
      <c r="B26" s="26">
        <f t="shared" si="4"/>
        <v>41749</v>
      </c>
      <c r="C26" s="27">
        <f t="shared" si="8"/>
        <v>960000</v>
      </c>
      <c r="D26" s="32">
        <f>_XLL.QLCALENDARADVANCE($B$8,A26,"-2d","following",TRUE,TRUE)</f>
        <v>41655</v>
      </c>
      <c r="E26" s="62">
        <f>_XLL.QLYIELDTSFORWARDRATE2($I$4,D26,$B$12,"actual/360",)</f>
        <v>0.029698750364177684</v>
      </c>
      <c r="F26" s="14">
        <f>_XLL.QLDAYCOUNTERYEARFRACTION($B$10,A26,B26,)</f>
        <v>0.25</v>
      </c>
      <c r="G26" s="15">
        <f t="shared" si="5"/>
        <v>7127.700087402644</v>
      </c>
      <c r="H26" s="18">
        <f>_XLL.QLDAYCOUNTERYEARFRACTION($B$9,A26,B26,)</f>
        <v>0.25</v>
      </c>
      <c r="I26" s="15">
        <f t="shared" si="6"/>
        <v>12000</v>
      </c>
      <c r="J26" s="45">
        <f>_XLL.QLYIELDTSDISCOUNT($F$4,B26,TRUE,)</f>
        <v>0.9549634688168818</v>
      </c>
      <c r="K26" s="22">
        <f t="shared" si="7"/>
        <v>-4652.86842565016</v>
      </c>
      <c r="L26" s="15">
        <f aca="true" t="shared" si="10" ref="L26:L31">IF(ISNUMBER(K26),K26,"")</f>
        <v>-4652.86842565016</v>
      </c>
    </row>
    <row r="27" spans="1:12" ht="15">
      <c r="A27" s="6">
        <f t="shared" si="9"/>
        <v>41749</v>
      </c>
      <c r="B27" s="26">
        <f t="shared" si="4"/>
        <v>41840</v>
      </c>
      <c r="C27" s="27">
        <f t="shared" si="8"/>
        <v>950000</v>
      </c>
      <c r="D27" s="32">
        <f>_XLL.QLCALENDARADVANCE($B$8,A27,"-2d","following",TRUE,TRUE)</f>
        <v>41745</v>
      </c>
      <c r="E27" s="62">
        <f>_XLL.QLYIELDTSFORWARDRATE2($I$4,D27,$B$12,"actual/360",)</f>
        <v>0.029699972398989295</v>
      </c>
      <c r="F27" s="14">
        <f>_XLL.QLDAYCOUNTERYEARFRACTION($B$10,A27,B27,)</f>
        <v>0.25277777777777777</v>
      </c>
      <c r="G27" s="15">
        <f t="shared" si="5"/>
        <v>7132.118371923956</v>
      </c>
      <c r="H27" s="18">
        <f>_XLL.QLDAYCOUNTERYEARFRACTION($B$9,A27,B27,)</f>
        <v>0.25277777777777777</v>
      </c>
      <c r="I27" s="15">
        <f t="shared" si="6"/>
        <v>12006.944444444443</v>
      </c>
      <c r="J27" s="45">
        <f>_XLL.QLYIELDTSDISCOUNT($F$4,B27,TRUE,)</f>
        <v>0.9502135851812293</v>
      </c>
      <c r="K27" s="22">
        <f t="shared" si="7"/>
        <v>-4632.125959504624</v>
      </c>
      <c r="L27" s="15">
        <f t="shared" si="10"/>
        <v>-4632.125959504624</v>
      </c>
    </row>
    <row r="28" spans="1:12" ht="15">
      <c r="A28" s="6">
        <f t="shared" si="9"/>
        <v>41840</v>
      </c>
      <c r="B28" s="26">
        <f t="shared" si="4"/>
        <v>41932</v>
      </c>
      <c r="C28" s="27">
        <f t="shared" si="8"/>
        <v>940000</v>
      </c>
      <c r="D28" s="32">
        <f>_XLL.QLCALENDARADVANCE($B$8,A28,"-2d","following",TRUE,TRUE)</f>
        <v>41837</v>
      </c>
      <c r="E28" s="62">
        <f>_XLL.QLYIELDTSFORWARDRATE2($I$4,D28,$B$12,"actual/360",)</f>
        <v>0.029701194500805172</v>
      </c>
      <c r="F28" s="14">
        <f>_XLL.QLDAYCOUNTERYEARFRACTION($B$10,A28,B28,)</f>
        <v>0.25555555555555554</v>
      </c>
      <c r="G28" s="15">
        <f>C28*E28*F28</f>
        <v>7134.886945637863</v>
      </c>
      <c r="H28" s="18">
        <f>_XLL.QLDAYCOUNTERYEARFRACTION($B$9,A28,B28,)</f>
        <v>0.25555555555555554</v>
      </c>
      <c r="I28" s="15">
        <f t="shared" si="6"/>
        <v>12011.11111111111</v>
      </c>
      <c r="J28" s="45">
        <f>_XLL.QLYIELDTSDISCOUNT($F$4,B28,TRUE,)</f>
        <v>0.9454355208408161</v>
      </c>
      <c r="K28" s="22">
        <f t="shared" si="7"/>
        <v>-4610.155533620772</v>
      </c>
      <c r="L28" s="15">
        <f t="shared" si="10"/>
        <v>-4610.155533620772</v>
      </c>
    </row>
    <row r="29" spans="1:12" ht="15">
      <c r="A29" s="6">
        <f t="shared" si="9"/>
        <v>41932</v>
      </c>
      <c r="B29" s="26">
        <f t="shared" si="4"/>
        <v>42024</v>
      </c>
      <c r="C29" s="27">
        <f t="shared" si="8"/>
        <v>930000</v>
      </c>
      <c r="D29" s="32">
        <f>_XLL.QLCALENDARADVANCE($B$8,A29,"-2d","following",TRUE,TRUE)</f>
        <v>41928</v>
      </c>
      <c r="E29" s="62">
        <f>_XLL.QLYIELDTSFORWARDRATE2($I$4,D29,$B$12,"actual/360",)</f>
        <v>0.029701194500805172</v>
      </c>
      <c r="F29" s="14">
        <f>_XLL.QLDAYCOUNTERYEARFRACTION($B$10,A29,B29,)</f>
        <v>0.25555555555555554</v>
      </c>
      <c r="G29" s="15">
        <f>C29*E29*F29</f>
        <v>7058.983893024695</v>
      </c>
      <c r="H29" s="18">
        <f>_XLL.QLDAYCOUNTERYEARFRACTION($B$9,A29,B29,)</f>
        <v>0.25555555555555554</v>
      </c>
      <c r="I29" s="15">
        <f t="shared" si="6"/>
        <v>11883.333333333332</v>
      </c>
      <c r="J29" s="45">
        <f>_XLL.QLYIELDTSDISCOUNT($F$4,B29,TRUE,)</f>
        <v>0.9406814825711696</v>
      </c>
      <c r="K29" s="22">
        <f t="shared" si="7"/>
        <v>-4538.176183950921</v>
      </c>
      <c r="L29" s="15">
        <f t="shared" si="10"/>
        <v>-4538.176183950921</v>
      </c>
    </row>
    <row r="30" spans="1:12" ht="15">
      <c r="A30" s="6">
        <f t="shared" si="9"/>
        <v>42024</v>
      </c>
      <c r="B30" s="26">
        <f t="shared" si="4"/>
        <v>42114</v>
      </c>
      <c r="C30" s="27">
        <f t="shared" si="8"/>
        <v>920000</v>
      </c>
      <c r="D30" s="32">
        <f>_XLL.QLCALENDARADVANCE($B$8,A30,"-2d","following",TRUE,TRUE)</f>
        <v>42020</v>
      </c>
      <c r="E30" s="62">
        <f>_XLL.QLYIELDTSFORWARDRATE2($I$4,D30,$B$12,"actual/360",)</f>
        <v>0.029698750364177684</v>
      </c>
      <c r="F30" s="14">
        <f>_XLL.QLDAYCOUNTERYEARFRACTION($B$10,A30,B30,)</f>
        <v>0.25</v>
      </c>
      <c r="G30" s="15">
        <f>C30*E30*F30</f>
        <v>6830.712583760867</v>
      </c>
      <c r="H30" s="18">
        <f>_XLL.QLDAYCOUNTERYEARFRACTION($B$9,A30,B30,)</f>
        <v>0.25</v>
      </c>
      <c r="I30" s="15">
        <f t="shared" si="6"/>
        <v>11500</v>
      </c>
      <c r="J30" s="45">
        <f>_XLL.QLYIELDTSDISCOUNT($F$4,B30,TRUE,)</f>
        <v>0.9360539251907245</v>
      </c>
      <c r="K30" s="22">
        <f t="shared" si="7"/>
        <v>-4370.704813814296</v>
      </c>
      <c r="L30" s="15">
        <f t="shared" si="10"/>
        <v>-4370.704813814296</v>
      </c>
    </row>
    <row r="31" spans="1:12" ht="15">
      <c r="A31" s="7">
        <f t="shared" si="9"/>
        <v>42114</v>
      </c>
      <c r="B31" s="30">
        <f t="shared" si="4"/>
        <v>42205</v>
      </c>
      <c r="C31" s="39">
        <f t="shared" si="8"/>
        <v>910000</v>
      </c>
      <c r="D31" s="33">
        <f>_XLL.QLCALENDARADVANCE($B$8,A31,"-2d","following",TRUE,TRUE)</f>
        <v>42110</v>
      </c>
      <c r="E31" s="63">
        <f>_XLL.QLYIELDTSFORWARDRATE2($I$4,D31,$B$12,"actual/360",)</f>
        <v>0.029699972398989295</v>
      </c>
      <c r="F31" s="16">
        <f>_XLL.QLDAYCOUNTERYEARFRACTION($B$10,A31,B31,)</f>
        <v>0.25277777777777777</v>
      </c>
      <c r="G31" s="17">
        <f>C31*E31*F31</f>
        <v>6831.818651000843</v>
      </c>
      <c r="H31" s="19">
        <f>_XLL.QLDAYCOUNTERYEARFRACTION($B$9,A31,B31,)</f>
        <v>0.25277777777777777</v>
      </c>
      <c r="I31" s="17">
        <f t="shared" si="6"/>
        <v>11501.388888888889</v>
      </c>
      <c r="J31" s="43">
        <f>_XLL.QLYIELDTSDISCOUNT($F$4,B31,TRUE,)</f>
        <v>0.9313980955526965</v>
      </c>
      <c r="K31" s="24">
        <f t="shared" si="7"/>
        <v>-4349.228826618478</v>
      </c>
      <c r="L31" s="17">
        <f t="shared" si="10"/>
        <v>-4349.228826618478</v>
      </c>
    </row>
    <row r="40" ht="15">
      <c r="O40" s="49"/>
    </row>
    <row r="41" ht="15">
      <c r="O41" s="49"/>
    </row>
  </sheetData>
  <sheetProtection/>
  <dataValidations count="2">
    <dataValidation type="list" allowBlank="1" showInputMessage="1" showErrorMessage="1" sqref="B9:B10">
      <formula1>"Actual/Actual (ISDA),Actual/360,30/360 (Bond Basis),30E/360 (Eurobond Basis),Actual/365 (Fixed),Actual/Actual (ISMA),Actual/Actual (AFB),'1/1,30/360 (Italian),Simple"</formula1>
    </dataValidation>
    <dataValidation type="list" allowBlank="1" showInputMessage="1" showErrorMessage="1" sqref="B8">
      <formula1>"TARGET,UnitedKingdom::Exchange,UnitedKingdom::Metals,UnitedKingdom::Settlement,UnitedStates::GovernmentBond,UnitedStates::NERC,UnitedStates::NYSE,UnitedStates::Settlement,Italy::Exchange,Switzerland,Japan"</formula1>
    </dataValidation>
  </dataValidations>
  <hyperlinks>
    <hyperlink ref="A1" r:id="rId1" display="http://www.PriceDerivatives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2013-10-04T16:46:54Z</dcterms:created>
  <dcterms:modified xsi:type="dcterms:W3CDTF">2014-10-23T21:20:25Z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